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ensh\Desktop\"/>
    </mc:Choice>
  </mc:AlternateContent>
  <xr:revisionPtr revIDLastSave="0" documentId="8_{6F21A2F4-C8C0-4835-97E3-DEA504CDD0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 Assign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48" i="1" l="1"/>
  <c r="G5" i="1" l="1"/>
  <c r="H5" i="1" s="1"/>
  <c r="I5" i="1" s="1"/>
  <c r="J5" i="1" s="1"/>
  <c r="K5" i="1" s="1"/>
  <c r="L5" i="1" s="1"/>
  <c r="M5" i="1" s="1"/>
  <c r="G4" i="1"/>
  <c r="H4" i="1" s="1"/>
  <c r="H18" i="1"/>
  <c r="I18" i="1" s="1"/>
  <c r="J18" i="1" s="1"/>
  <c r="K18" i="1" s="1"/>
  <c r="L18" i="1" s="1"/>
  <c r="M18" i="1" s="1"/>
  <c r="H17" i="1"/>
  <c r="I17" i="1" s="1"/>
  <c r="J17" i="1" s="1"/>
  <c r="K17" i="1" s="1"/>
  <c r="L17" i="1" s="1"/>
  <c r="M17" i="1" s="1"/>
  <c r="G13" i="1"/>
  <c r="H13" i="1" s="1"/>
  <c r="I13" i="1" s="1"/>
  <c r="J13" i="1" s="1"/>
  <c r="K13" i="1" s="1"/>
  <c r="L13" i="1" s="1"/>
  <c r="M13" i="1" s="1"/>
  <c r="G14" i="1"/>
  <c r="H14" i="1" s="1"/>
  <c r="I14" i="1" s="1"/>
  <c r="J14" i="1" s="1"/>
  <c r="K14" i="1" s="1"/>
  <c r="L14" i="1" s="1"/>
  <c r="M14" i="1" s="1"/>
  <c r="G15" i="1"/>
  <c r="H15" i="1" s="1"/>
  <c r="I15" i="1" s="1"/>
  <c r="J15" i="1" s="1"/>
  <c r="K15" i="1" s="1"/>
  <c r="L15" i="1" s="1"/>
  <c r="M15" i="1" s="1"/>
  <c r="G16" i="1"/>
  <c r="H16" i="1" s="1"/>
  <c r="I16" i="1" s="1"/>
  <c r="J16" i="1" s="1"/>
  <c r="K16" i="1" s="1"/>
  <c r="L16" i="1" s="1"/>
  <c r="M16" i="1" s="1"/>
  <c r="G17" i="1"/>
  <c r="G18" i="1"/>
  <c r="G19" i="1"/>
  <c r="G12" i="1"/>
  <c r="H12" i="1" s="1"/>
  <c r="I12" i="1" s="1"/>
  <c r="J12" i="1" s="1"/>
  <c r="K12" i="1" s="1"/>
  <c r="L12" i="1" s="1"/>
  <c r="M12" i="1" s="1"/>
  <c r="F13" i="1"/>
  <c r="F14" i="1"/>
  <c r="F15" i="1"/>
  <c r="F16" i="1"/>
  <c r="F17" i="1"/>
  <c r="F18" i="1"/>
  <c r="F19" i="1"/>
  <c r="F12" i="1"/>
  <c r="C17" i="1"/>
  <c r="B6" i="1"/>
  <c r="G7" i="1" s="1"/>
  <c r="H7" i="1" s="1"/>
  <c r="I7" i="1" s="1"/>
  <c r="J7" i="1" s="1"/>
  <c r="K7" i="1" s="1"/>
  <c r="L7" i="1" s="1"/>
  <c r="M7" i="1" s="1"/>
  <c r="H6" i="1" l="1"/>
  <c r="H8" i="1" s="1"/>
  <c r="I4" i="1"/>
  <c r="G6" i="1"/>
  <c r="G8" i="1" s="1"/>
  <c r="G9" i="1" s="1"/>
  <c r="G10" i="1" s="1"/>
  <c r="G20" i="1"/>
  <c r="G21" i="1" l="1"/>
  <c r="J4" i="1"/>
  <c r="I6" i="1"/>
  <c r="I8" i="1" s="1"/>
  <c r="H9" i="1"/>
  <c r="H10" i="1" s="1"/>
  <c r="K4" i="1" l="1"/>
  <c r="J6" i="1"/>
  <c r="J8" i="1" s="1"/>
  <c r="H19" i="1"/>
  <c r="H20" i="1" s="1"/>
  <c r="H21" i="1" s="1"/>
  <c r="H29" i="1" s="1"/>
  <c r="I9" i="1"/>
  <c r="I10" i="1" s="1"/>
  <c r="C45" i="1" l="1"/>
  <c r="C44" i="1" s="1"/>
  <c r="C47" i="1"/>
  <c r="L4" i="1"/>
  <c r="K6" i="1"/>
  <c r="K8" i="1" s="1"/>
  <c r="I19" i="1"/>
  <c r="I20" i="1" s="1"/>
  <c r="I21" i="1" s="1"/>
  <c r="I29" i="1" s="1"/>
  <c r="J9" i="1"/>
  <c r="J10" i="1" s="1"/>
  <c r="C46" i="1" l="1"/>
  <c r="C49" i="1" s="1"/>
  <c r="C50" i="1" s="1"/>
  <c r="G30" i="1" s="1"/>
  <c r="G29" i="1"/>
  <c r="M4" i="1"/>
  <c r="M6" i="1" s="1"/>
  <c r="M8" i="1" s="1"/>
  <c r="L6" i="1"/>
  <c r="L8" i="1" s="1"/>
  <c r="L9" i="1" s="1"/>
  <c r="L10" i="1" s="1"/>
  <c r="J19" i="1"/>
  <c r="J20" i="1" s="1"/>
  <c r="J21" i="1" s="1"/>
  <c r="J29" i="1" s="1"/>
  <c r="K9" i="1"/>
  <c r="K10" i="1" s="1"/>
  <c r="C52" i="1" l="1"/>
  <c r="L26" i="1" s="1"/>
  <c r="L27" i="1" s="1"/>
  <c r="C51" i="1"/>
  <c r="C54" i="1" s="1"/>
  <c r="M9" i="1"/>
  <c r="M10" i="1" s="1"/>
  <c r="M19" i="1" s="1"/>
  <c r="M20" i="1" s="1"/>
  <c r="M21" i="1" s="1"/>
  <c r="L25" i="1" s="1"/>
  <c r="K19" i="1"/>
  <c r="K20" i="1" s="1"/>
  <c r="K21" i="1" s="1"/>
  <c r="K29" i="1" s="1"/>
  <c r="L19" i="1"/>
  <c r="L20" i="1" s="1"/>
  <c r="L21" i="1" s="1"/>
  <c r="L29" i="1" l="1"/>
  <c r="C59" i="1" s="1"/>
  <c r="H22" i="1"/>
  <c r="H23" i="1" s="1"/>
  <c r="H30" i="1" s="1"/>
  <c r="C53" i="1"/>
  <c r="J22" i="1"/>
  <c r="J23" i="1" s="1"/>
  <c r="J30" i="1" s="1"/>
  <c r="I22" i="1"/>
  <c r="I23" i="1" s="1"/>
  <c r="I30" i="1" s="1"/>
  <c r="K22" i="1"/>
  <c r="K23" i="1" s="1"/>
  <c r="K30" i="1" s="1"/>
  <c r="C57" i="1"/>
  <c r="G22" i="1"/>
  <c r="G23" i="1" s="1"/>
  <c r="M22" i="1"/>
  <c r="M23" i="1" s="1"/>
  <c r="L22" i="1"/>
  <c r="L23" i="1" s="1"/>
  <c r="L30" i="1" s="1"/>
  <c r="C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Scarola</author>
  </authors>
  <commentList>
    <comment ref="C29" authorId="0" shapeId="0" xr:uid="{861D089B-08B1-4F72-9880-87AA37E410AB}">
      <text>
        <r>
          <rPr>
            <sz val="9"/>
            <color indexed="81"/>
            <rFont val="Tahoma"/>
            <family val="2"/>
          </rPr>
          <t>The stated going-in cap rate assumption is based on a CBRE survey for Class A stabilized multifamily in San Diego, skewing towards the lower end of their range based on my personal opinion of current high market demand.</t>
        </r>
      </text>
    </comment>
    <comment ref="C30" authorId="0" shapeId="0" xr:uid="{DF4AB970-D7EA-4FBA-AAF7-3AE6FD301A86}">
      <text>
        <r>
          <rPr>
            <sz val="9"/>
            <color indexed="81"/>
            <rFont val="Tahoma"/>
            <family val="2"/>
          </rPr>
          <t>The stated exit cap rate assumption is based on a CBRE survey for Class A stabilized multifamily properties in San Diego, taken at the high end of their range. Since cap rates are quite low now, I suspect that they're more likely to increase over time than to continue decreasing.</t>
        </r>
      </text>
    </comment>
    <comment ref="C44" authorId="0" shapeId="0" xr:uid="{453C58AD-3D47-4497-A03E-BEEB20417F44}">
      <text>
        <r>
          <rPr>
            <sz val="9"/>
            <color indexed="81"/>
            <rFont val="Tahoma"/>
            <family val="2"/>
          </rPr>
          <t>A direct capitalization valuation is determined in the cell below and copied here. However the user has the option to overwrite it, for example with a market comps based valuation.</t>
        </r>
      </text>
    </comment>
  </commentList>
</comments>
</file>

<file path=xl/sharedStrings.xml><?xml version="1.0" encoding="utf-8"?>
<sst xmlns="http://schemas.openxmlformats.org/spreadsheetml/2006/main" count="74" uniqueCount="70">
  <si>
    <t>Operating Results in the last 12 month</t>
  </si>
  <si>
    <t>Unit Mix</t>
  </si>
  <si>
    <t>Units</t>
  </si>
  <si>
    <t>Monthly Rent</t>
  </si>
  <si>
    <t>1 BR</t>
  </si>
  <si>
    <t>2 BR</t>
  </si>
  <si>
    <t>Operating Expenses</t>
  </si>
  <si>
    <t>Payroll</t>
  </si>
  <si>
    <t>Administrative</t>
  </si>
  <si>
    <t>Marketing</t>
  </si>
  <si>
    <t>Repairs &amp; Maintenance</t>
  </si>
  <si>
    <t>Utilities</t>
  </si>
  <si>
    <t>Insurance</t>
  </si>
  <si>
    <t>Real Estate Taxes</t>
  </si>
  <si>
    <t>Management</t>
  </si>
  <si>
    <t>Assumptions</t>
  </si>
  <si>
    <t>Rent Growth</t>
  </si>
  <si>
    <t>Other Income Growth</t>
  </si>
  <si>
    <t>Expense Growth</t>
  </si>
  <si>
    <t>RE Taxes in Yr 1</t>
  </si>
  <si>
    <t>RE Taxes Growth</t>
  </si>
  <si>
    <t>Management Fee</t>
  </si>
  <si>
    <t>Vacancy</t>
  </si>
  <si>
    <t>Gross Rental Income</t>
  </si>
  <si>
    <t>Other Income</t>
  </si>
  <si>
    <t>PGI</t>
  </si>
  <si>
    <t>EGI</t>
  </si>
  <si>
    <t>Total Operating Expenses</t>
  </si>
  <si>
    <t>Net Operating Income</t>
  </si>
  <si>
    <t>Other Income per unit per month</t>
  </si>
  <si>
    <t>Total</t>
  </si>
  <si>
    <t>Rental Income</t>
  </si>
  <si>
    <t>Lender Terms</t>
  </si>
  <si>
    <t>Interest Rate</t>
  </si>
  <si>
    <t>Points</t>
  </si>
  <si>
    <t>Term to Maturity</t>
  </si>
  <si>
    <t>Amortization Period</t>
  </si>
  <si>
    <t>LTV Ratio</t>
  </si>
  <si>
    <t>DSCR</t>
  </si>
  <si>
    <t>Debt Yield</t>
  </si>
  <si>
    <t>Lender Name</t>
  </si>
  <si>
    <t>Lender 1</t>
  </si>
  <si>
    <t>Monthly Payment</t>
  </si>
  <si>
    <t>Annual Debt Service</t>
  </si>
  <si>
    <t>Balloon Payment</t>
  </si>
  <si>
    <t>Purchase Price (manually entered)</t>
  </si>
  <si>
    <t>Purchase Price (based on cap rate)</t>
  </si>
  <si>
    <t>Loan Terms</t>
  </si>
  <si>
    <t>Max Loan (based on LTV)</t>
  </si>
  <si>
    <t>Max Loan (based on DSCR)</t>
  </si>
  <si>
    <t>Max Loan (based on Debt Yield)</t>
  </si>
  <si>
    <t>Offered Loan Amount</t>
  </si>
  <si>
    <t>Points ($)</t>
  </si>
  <si>
    <t>Proceeds from Lender</t>
  </si>
  <si>
    <t>Summary</t>
  </si>
  <si>
    <t>Annual Percentage Rate (APR)</t>
  </si>
  <si>
    <t>Effective Borrowing Rate (EBR)</t>
  </si>
  <si>
    <t>Unleveraged IRR</t>
  </si>
  <si>
    <t>Leveraged IRR</t>
  </si>
  <si>
    <t>Net Sales Price</t>
  </si>
  <si>
    <t>Outstanding Loan Balance</t>
  </si>
  <si>
    <t>PBTCF (from operations)</t>
  </si>
  <si>
    <t>PBTCF (from sale)</t>
  </si>
  <si>
    <t>Cap Rate (going-in)</t>
  </si>
  <si>
    <t>Cap Rate (going-out)</t>
  </si>
  <si>
    <t>Unleveraged Cash Flow</t>
  </si>
  <si>
    <t>Leveraged Cash Flow</t>
  </si>
  <si>
    <t>Equity Required</t>
  </si>
  <si>
    <t>Holding Period</t>
  </si>
  <si>
    <t>Multifamily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</si>
</sst>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Year&quot;\ General"/>
    <numFmt numFmtId="167" formatCode="0.000%"/>
    <numFmt numFmtId="168" formatCode="General\ &quot;years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164" fontId="0" fillId="0" borderId="0" xfId="0" applyNumberFormat="1"/>
    <xf numFmtId="0" fontId="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Border="1" applyAlignment="1">
      <alignment vertical="top"/>
    </xf>
    <xf numFmtId="164" fontId="2" fillId="2" borderId="0" xfId="1" applyNumberFormat="1" applyFont="1" applyFill="1"/>
    <xf numFmtId="165" fontId="4" fillId="0" borderId="0" xfId="0" applyNumberFormat="1" applyFont="1"/>
    <xf numFmtId="0" fontId="5" fillId="2" borderId="0" xfId="0" applyFont="1" applyFill="1"/>
    <xf numFmtId="166" fontId="5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left" vertical="top" indent="2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vertical="top"/>
    </xf>
    <xf numFmtId="164" fontId="0" fillId="0" borderId="1" xfId="1" applyNumberFormat="1" applyFont="1" applyBorder="1"/>
    <xf numFmtId="0" fontId="0" fillId="0" borderId="0" xfId="0" applyAlignment="1">
      <alignment horizontal="left" indent="2"/>
    </xf>
    <xf numFmtId="0" fontId="0" fillId="2" borderId="1" xfId="0" applyFill="1" applyBorder="1"/>
    <xf numFmtId="43" fontId="0" fillId="2" borderId="1" xfId="1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vertical="top"/>
    </xf>
    <xf numFmtId="10" fontId="4" fillId="0" borderId="0" xfId="0" applyNumberFormat="1" applyFont="1"/>
    <xf numFmtId="167" fontId="4" fillId="0" borderId="0" xfId="0" applyNumberFormat="1" applyFont="1"/>
    <xf numFmtId="10" fontId="0" fillId="0" borderId="0" xfId="0" applyNumberFormat="1"/>
    <xf numFmtId="9" fontId="4" fillId="0" borderId="0" xfId="0" applyNumberFormat="1" applyFont="1"/>
    <xf numFmtId="168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Border="1" applyAlignment="1">
      <alignment horizontal="right" vertical="top" wrapText="1"/>
    </xf>
    <xf numFmtId="164" fontId="4" fillId="0" borderId="0" xfId="1" applyNumberFormat="1" applyFont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/>
    <xf numFmtId="10" fontId="0" fillId="0" borderId="0" xfId="2" applyNumberFormat="1" applyFont="1"/>
    <xf numFmtId="0" fontId="0" fillId="0" borderId="0" xfId="0" applyFont="1"/>
    <xf numFmtId="164" fontId="1" fillId="0" borderId="0" xfId="1" applyNumberFormat="1" applyFont="1"/>
    <xf numFmtId="164" fontId="1" fillId="0" borderId="0" xfId="1" applyNumberFormat="1" applyFont="1" applyBorder="1"/>
    <xf numFmtId="0" fontId="0" fillId="0" borderId="1" xfId="0" applyFont="1" applyBorder="1"/>
    <xf numFmtId="164" fontId="1" fillId="0" borderId="1" xfId="1" applyNumberFormat="1" applyFont="1" applyBorder="1"/>
    <xf numFmtId="164" fontId="0" fillId="0" borderId="1" xfId="0" applyNumberFormat="1" applyBorder="1"/>
    <xf numFmtId="10" fontId="4" fillId="0" borderId="0" xfId="2" applyNumberFormat="1" applyFont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selection activeCell="A2" sqref="A2"/>
    </sheetView>
  </sheetViews>
  <sheetFormatPr defaultRowHeight="14.4" x14ac:dyDescent="0.3"/>
  <cols>
    <col min="1" max="1" width="30" customWidth="1"/>
    <col min="2" max="2" width="9.88671875" bestFit="1" customWidth="1"/>
    <col min="3" max="3" width="13.6640625" customWidth="1"/>
    <col min="6" max="6" width="26.33203125" customWidth="1"/>
    <col min="7" max="11" width="14.109375" bestFit="1" customWidth="1"/>
    <col min="12" max="12" width="14.6640625" bestFit="1" customWidth="1"/>
    <col min="13" max="13" width="14" customWidth="1"/>
  </cols>
  <sheetData>
    <row r="1" spans="1:13" ht="18" x14ac:dyDescent="0.35">
      <c r="A1" s="1" t="s">
        <v>69</v>
      </c>
    </row>
    <row r="2" spans="1:13" x14ac:dyDescent="0.3">
      <c r="A2" s="2" t="s">
        <v>0</v>
      </c>
      <c r="B2" s="2"/>
      <c r="C2" s="2"/>
      <c r="F2" s="13"/>
      <c r="G2" s="14">
        <v>0</v>
      </c>
      <c r="H2" s="14">
        <v>1</v>
      </c>
      <c r="I2" s="14">
        <v>2</v>
      </c>
      <c r="J2" s="14">
        <v>3</v>
      </c>
      <c r="K2" s="14">
        <v>4</v>
      </c>
      <c r="L2" s="14">
        <v>5</v>
      </c>
      <c r="M2" s="14">
        <v>6</v>
      </c>
    </row>
    <row r="3" spans="1:13" x14ac:dyDescent="0.3">
      <c r="A3" s="3" t="s">
        <v>1</v>
      </c>
      <c r="B3" s="3" t="s">
        <v>2</v>
      </c>
      <c r="C3" s="3" t="s">
        <v>3</v>
      </c>
      <c r="F3" t="s">
        <v>31</v>
      </c>
      <c r="G3" s="18"/>
      <c r="H3" s="18"/>
      <c r="I3" s="18"/>
      <c r="J3" s="18"/>
      <c r="K3" s="18"/>
      <c r="L3" s="18"/>
    </row>
    <row r="4" spans="1:13" x14ac:dyDescent="0.3">
      <c r="A4" t="s">
        <v>4</v>
      </c>
      <c r="B4" s="4">
        <v>42</v>
      </c>
      <c r="C4" s="32">
        <v>1875</v>
      </c>
      <c r="F4" s="21" t="s">
        <v>4</v>
      </c>
      <c r="G4" s="18">
        <f>B4*C4*12</f>
        <v>945000</v>
      </c>
      <c r="H4" s="18">
        <f>G4*(1+$C$22)</f>
        <v>973350</v>
      </c>
      <c r="I4" s="18">
        <f t="shared" ref="I4:L4" si="0">H4*(1+$C$22)</f>
        <v>1002550.5</v>
      </c>
      <c r="J4" s="18">
        <f t="shared" si="0"/>
        <v>1032627.015</v>
      </c>
      <c r="K4" s="18">
        <f t="shared" si="0"/>
        <v>1063605.8254500001</v>
      </c>
      <c r="L4" s="18">
        <f t="shared" si="0"/>
        <v>1095514.0002135001</v>
      </c>
      <c r="M4" s="18">
        <f t="shared" ref="M4" si="1">L4*(1+$C$22)</f>
        <v>1128379.4202199052</v>
      </c>
    </row>
    <row r="5" spans="1:13" x14ac:dyDescent="0.3">
      <c r="A5" t="s">
        <v>5</v>
      </c>
      <c r="B5" s="5">
        <v>30</v>
      </c>
      <c r="C5" s="37">
        <v>2250</v>
      </c>
      <c r="F5" s="21" t="s">
        <v>5</v>
      </c>
      <c r="G5" s="18">
        <f>B5*C5*12</f>
        <v>810000</v>
      </c>
      <c r="H5" s="18">
        <f>G5*(1+$C$22)</f>
        <v>834300</v>
      </c>
      <c r="I5" s="18">
        <f t="shared" ref="I5:L5" si="2">H5*(1+$C$22)</f>
        <v>859329</v>
      </c>
      <c r="J5" s="18">
        <f t="shared" si="2"/>
        <v>885108.87</v>
      </c>
      <c r="K5" s="18">
        <f t="shared" si="2"/>
        <v>911662.1361</v>
      </c>
      <c r="L5" s="18">
        <f t="shared" si="2"/>
        <v>939012.000183</v>
      </c>
      <c r="M5" s="18">
        <f t="shared" ref="M5" si="3">L5*(1+$C$22)</f>
        <v>967182.36018849001</v>
      </c>
    </row>
    <row r="6" spans="1:13" x14ac:dyDescent="0.3">
      <c r="B6">
        <f>B4+B5</f>
        <v>72</v>
      </c>
      <c r="C6" s="17"/>
      <c r="F6" s="42" t="s">
        <v>23</v>
      </c>
      <c r="G6" s="43">
        <f>G4+G5</f>
        <v>1755000</v>
      </c>
      <c r="H6" s="43">
        <f t="shared" ref="H6:M6" si="4">H4+H5</f>
        <v>1807650</v>
      </c>
      <c r="I6" s="43">
        <f t="shared" si="4"/>
        <v>1861879.5</v>
      </c>
      <c r="J6" s="43">
        <f t="shared" si="4"/>
        <v>1917735.885</v>
      </c>
      <c r="K6" s="43">
        <f t="shared" si="4"/>
        <v>1975267.9615500001</v>
      </c>
      <c r="L6" s="43">
        <f t="shared" si="4"/>
        <v>2034526.0003965001</v>
      </c>
      <c r="M6" s="43">
        <f t="shared" si="4"/>
        <v>2095561.7804083952</v>
      </c>
    </row>
    <row r="7" spans="1:13" x14ac:dyDescent="0.3">
      <c r="C7" s="17"/>
      <c r="F7" s="39" t="s">
        <v>24</v>
      </c>
      <c r="G7" s="40">
        <f>$C$19*$B$6*12</f>
        <v>43200</v>
      </c>
      <c r="H7" s="40">
        <f>G7*(1+$C$23)</f>
        <v>44496</v>
      </c>
      <c r="I7" s="40">
        <f t="shared" ref="I7:M7" si="5">H7*(1+$C$23)</f>
        <v>45830.880000000005</v>
      </c>
      <c r="J7" s="40">
        <f t="shared" si="5"/>
        <v>47205.806400000009</v>
      </c>
      <c r="K7" s="40">
        <f t="shared" si="5"/>
        <v>48621.980592000007</v>
      </c>
      <c r="L7" s="40">
        <f t="shared" si="5"/>
        <v>50080.640009760005</v>
      </c>
      <c r="M7" s="40">
        <f t="shared" si="5"/>
        <v>51583.059210052808</v>
      </c>
    </row>
    <row r="8" spans="1:13" x14ac:dyDescent="0.3">
      <c r="A8" s="24" t="s">
        <v>6</v>
      </c>
      <c r="B8" s="22"/>
      <c r="C8" s="23"/>
      <c r="F8" s="42" t="s">
        <v>25</v>
      </c>
      <c r="G8" s="43">
        <f>G6+G7</f>
        <v>1798200</v>
      </c>
      <c r="H8" s="43">
        <f t="shared" ref="H8:M8" si="6">H6+H7</f>
        <v>1852146</v>
      </c>
      <c r="I8" s="43">
        <f t="shared" si="6"/>
        <v>1907710.38</v>
      </c>
      <c r="J8" s="43">
        <f t="shared" si="6"/>
        <v>1964941.6914000001</v>
      </c>
      <c r="K8" s="43">
        <f t="shared" si="6"/>
        <v>2023889.9421420002</v>
      </c>
      <c r="L8" s="43">
        <f t="shared" si="6"/>
        <v>2084606.64040626</v>
      </c>
      <c r="M8" s="43">
        <f t="shared" si="6"/>
        <v>2147144.8396184482</v>
      </c>
    </row>
    <row r="9" spans="1:13" s="8" customFormat="1" x14ac:dyDescent="0.3">
      <c r="A9" s="7" t="s">
        <v>7</v>
      </c>
      <c r="C9" s="33">
        <v>226810</v>
      </c>
      <c r="F9" s="39" t="s">
        <v>22</v>
      </c>
      <c r="G9" s="41">
        <f>(G8*$C$28)*-1</f>
        <v>-107892</v>
      </c>
      <c r="H9" s="41">
        <f t="shared" ref="H9:L9" si="7">(H8*$C$28)*-1</f>
        <v>-111128.76</v>
      </c>
      <c r="I9" s="41">
        <f t="shared" si="7"/>
        <v>-114462.62279999998</v>
      </c>
      <c r="J9" s="41">
        <f t="shared" si="7"/>
        <v>-117896.50148400001</v>
      </c>
      <c r="K9" s="41">
        <f t="shared" si="7"/>
        <v>-121433.39652852001</v>
      </c>
      <c r="L9" s="41">
        <f t="shared" si="7"/>
        <v>-125076.3984243756</v>
      </c>
      <c r="M9" s="41">
        <f t="shared" ref="M9" si="8">(M8*$C$28)*-1</f>
        <v>-128828.69037710689</v>
      </c>
    </row>
    <row r="10" spans="1:13" s="8" customFormat="1" x14ac:dyDescent="0.3">
      <c r="A10" s="9" t="s">
        <v>8</v>
      </c>
      <c r="C10" s="34">
        <v>23981</v>
      </c>
      <c r="F10" s="42" t="s">
        <v>26</v>
      </c>
      <c r="G10" s="43">
        <f>SUM(G8:G9)</f>
        <v>1690308</v>
      </c>
      <c r="H10" s="43">
        <f t="shared" ref="H10:L10" si="9">SUM(H8:H9)</f>
        <v>1741017.24</v>
      </c>
      <c r="I10" s="43">
        <f t="shared" si="9"/>
        <v>1793247.7571999999</v>
      </c>
      <c r="J10" s="43">
        <f t="shared" si="9"/>
        <v>1847045.1899160002</v>
      </c>
      <c r="K10" s="43">
        <f t="shared" si="9"/>
        <v>1902456.5456134803</v>
      </c>
      <c r="L10" s="43">
        <f t="shared" si="9"/>
        <v>1959530.2419818845</v>
      </c>
      <c r="M10" s="43">
        <f t="shared" ref="M10" si="10">SUM(M8:M9)</f>
        <v>2018316.1492413413</v>
      </c>
    </row>
    <row r="11" spans="1:13" s="8" customFormat="1" x14ac:dyDescent="0.3">
      <c r="A11" s="9" t="s">
        <v>9</v>
      </c>
      <c r="C11" s="34">
        <v>64118</v>
      </c>
      <c r="F11" t="s">
        <v>6</v>
      </c>
      <c r="G11" s="18"/>
      <c r="H11" s="18"/>
      <c r="I11" s="18"/>
      <c r="J11" s="18"/>
      <c r="K11" s="18"/>
      <c r="L11" s="18"/>
      <c r="M11" s="18"/>
    </row>
    <row r="12" spans="1:13" s="8" customFormat="1" x14ac:dyDescent="0.3">
      <c r="A12" s="9" t="s">
        <v>10</v>
      </c>
      <c r="C12" s="34">
        <v>135692</v>
      </c>
      <c r="F12" s="16" t="str">
        <f t="shared" ref="F12:F19" si="11">A9</f>
        <v>Payroll</v>
      </c>
      <c r="G12" s="19">
        <f t="shared" ref="G12:G19" si="12">C9*-1</f>
        <v>-226810</v>
      </c>
      <c r="H12" s="19">
        <f>G12*(1+$C$24)</f>
        <v>-233614.30000000002</v>
      </c>
      <c r="I12" s="19">
        <f t="shared" ref="I12:M12" si="13">H12*(1+$C$24)</f>
        <v>-240622.72900000002</v>
      </c>
      <c r="J12" s="19">
        <f t="shared" si="13"/>
        <v>-247841.41087000002</v>
      </c>
      <c r="K12" s="19">
        <f t="shared" si="13"/>
        <v>-255276.65319610003</v>
      </c>
      <c r="L12" s="19">
        <f t="shared" si="13"/>
        <v>-262934.95279198303</v>
      </c>
      <c r="M12" s="19">
        <f t="shared" si="13"/>
        <v>-270823.00137574255</v>
      </c>
    </row>
    <row r="13" spans="1:13" s="8" customFormat="1" x14ac:dyDescent="0.3">
      <c r="A13" s="9" t="s">
        <v>11</v>
      </c>
      <c r="C13" s="34">
        <v>130509</v>
      </c>
      <c r="F13" s="16" t="str">
        <f t="shared" si="11"/>
        <v>Administrative</v>
      </c>
      <c r="G13" s="19">
        <f t="shared" si="12"/>
        <v>-23981</v>
      </c>
      <c r="H13" s="19">
        <f>G13*(1+$C$24)</f>
        <v>-24700.43</v>
      </c>
      <c r="I13" s="19">
        <f t="shared" ref="I13:M13" si="14">H13*(1+$C$24)</f>
        <v>-25441.442900000002</v>
      </c>
      <c r="J13" s="19">
        <f t="shared" si="14"/>
        <v>-26204.686187000003</v>
      </c>
      <c r="K13" s="19">
        <f t="shared" si="14"/>
        <v>-26990.826772610002</v>
      </c>
      <c r="L13" s="19">
        <f t="shared" si="14"/>
        <v>-27800.551575788304</v>
      </c>
      <c r="M13" s="19">
        <f t="shared" si="14"/>
        <v>-28634.568123061956</v>
      </c>
    </row>
    <row r="14" spans="1:13" s="8" customFormat="1" x14ac:dyDescent="0.3">
      <c r="A14" s="9" t="s">
        <v>12</v>
      </c>
      <c r="B14" s="10"/>
      <c r="C14" s="33">
        <v>53642</v>
      </c>
      <c r="F14" s="16" t="str">
        <f t="shared" si="11"/>
        <v>Marketing</v>
      </c>
      <c r="G14" s="19">
        <f t="shared" si="12"/>
        <v>-64118</v>
      </c>
      <c r="H14" s="19">
        <f t="shared" ref="H14:M17" si="15">G14*(1+$C$24)</f>
        <v>-66041.540000000008</v>
      </c>
      <c r="I14" s="19">
        <f t="shared" si="15"/>
        <v>-68022.786200000017</v>
      </c>
      <c r="J14" s="19">
        <f t="shared" si="15"/>
        <v>-70063.469786000016</v>
      </c>
      <c r="K14" s="19">
        <f t="shared" si="15"/>
        <v>-72165.373879580016</v>
      </c>
      <c r="L14" s="19">
        <f t="shared" si="15"/>
        <v>-74330.335095967414</v>
      </c>
      <c r="M14" s="19">
        <f t="shared" si="15"/>
        <v>-76560.245148846443</v>
      </c>
    </row>
    <row r="15" spans="1:13" s="8" customFormat="1" x14ac:dyDescent="0.3">
      <c r="A15" s="9" t="s">
        <v>13</v>
      </c>
      <c r="C15" s="34">
        <v>74098</v>
      </c>
      <c r="F15" s="16" t="str">
        <f t="shared" si="11"/>
        <v>Repairs &amp; Maintenance</v>
      </c>
      <c r="G15" s="19">
        <f t="shared" si="12"/>
        <v>-135692</v>
      </c>
      <c r="H15" s="19">
        <f t="shared" si="15"/>
        <v>-139762.76</v>
      </c>
      <c r="I15" s="19">
        <f t="shared" si="15"/>
        <v>-143955.6428</v>
      </c>
      <c r="J15" s="19">
        <f t="shared" si="15"/>
        <v>-148274.312084</v>
      </c>
      <c r="K15" s="19">
        <f t="shared" si="15"/>
        <v>-152722.54144652002</v>
      </c>
      <c r="L15" s="19">
        <f t="shared" si="15"/>
        <v>-157304.21768991562</v>
      </c>
      <c r="M15" s="19">
        <f t="shared" si="15"/>
        <v>-162023.3442206131</v>
      </c>
    </row>
    <row r="16" spans="1:13" s="8" customFormat="1" x14ac:dyDescent="0.3">
      <c r="A16" s="9" t="s">
        <v>14</v>
      </c>
      <c r="C16" s="35">
        <v>52790</v>
      </c>
      <c r="F16" s="16" t="str">
        <f t="shared" si="11"/>
        <v>Utilities</v>
      </c>
      <c r="G16" s="19">
        <f t="shared" si="12"/>
        <v>-130509</v>
      </c>
      <c r="H16" s="19">
        <f t="shared" si="15"/>
        <v>-134424.26999999999</v>
      </c>
      <c r="I16" s="19">
        <f t="shared" si="15"/>
        <v>-138456.9981</v>
      </c>
      <c r="J16" s="19">
        <f t="shared" si="15"/>
        <v>-142610.70804299999</v>
      </c>
      <c r="K16" s="19">
        <f t="shared" si="15"/>
        <v>-146889.02928429001</v>
      </c>
      <c r="L16" s="19">
        <f t="shared" si="15"/>
        <v>-151295.70016281871</v>
      </c>
      <c r="M16" s="19">
        <f t="shared" si="15"/>
        <v>-155834.57116770328</v>
      </c>
    </row>
    <row r="17" spans="1:13" x14ac:dyDescent="0.3">
      <c r="A17" s="9" t="s">
        <v>30</v>
      </c>
      <c r="C17" s="18">
        <f>SUM(C9:C16)</f>
        <v>761640</v>
      </c>
      <c r="F17" s="16" t="str">
        <f t="shared" si="11"/>
        <v>Insurance</v>
      </c>
      <c r="G17" s="19">
        <f t="shared" si="12"/>
        <v>-53642</v>
      </c>
      <c r="H17" s="19">
        <f t="shared" si="15"/>
        <v>-55251.26</v>
      </c>
      <c r="I17" s="19">
        <f t="shared" si="15"/>
        <v>-56908.7978</v>
      </c>
      <c r="J17" s="19">
        <f t="shared" si="15"/>
        <v>-58616.061734000003</v>
      </c>
      <c r="K17" s="19">
        <f t="shared" si="15"/>
        <v>-60374.543586020001</v>
      </c>
      <c r="L17" s="19">
        <f t="shared" si="15"/>
        <v>-62185.7798936006</v>
      </c>
      <c r="M17" s="19">
        <f t="shared" si="15"/>
        <v>-64051.353290408617</v>
      </c>
    </row>
    <row r="18" spans="1:13" x14ac:dyDescent="0.3">
      <c r="C18" s="18"/>
      <c r="F18" s="16" t="str">
        <f t="shared" si="11"/>
        <v>Real Estate Taxes</v>
      </c>
      <c r="G18" s="19">
        <f t="shared" si="12"/>
        <v>-74098</v>
      </c>
      <c r="H18" s="19">
        <f>C25*-1</f>
        <v>-80030</v>
      </c>
      <c r="I18" s="19">
        <f>H18*(1+$C$26)</f>
        <v>-81630.600000000006</v>
      </c>
      <c r="J18" s="19">
        <f t="shared" ref="J18:M18" si="16">I18*(1+$C$26)</f>
        <v>-83263.212000000014</v>
      </c>
      <c r="K18" s="19">
        <f t="shared" si="16"/>
        <v>-84928.476240000018</v>
      </c>
      <c r="L18" s="19">
        <f t="shared" si="16"/>
        <v>-86627.045764800016</v>
      </c>
      <c r="M18" s="19">
        <f t="shared" si="16"/>
        <v>-88359.586680096021</v>
      </c>
    </row>
    <row r="19" spans="1:13" x14ac:dyDescent="0.3">
      <c r="A19" s="9" t="s">
        <v>29</v>
      </c>
      <c r="C19" s="36">
        <v>50</v>
      </c>
      <c r="F19" s="16" t="str">
        <f t="shared" si="11"/>
        <v>Management</v>
      </c>
      <c r="G19" s="19">
        <f t="shared" si="12"/>
        <v>-52790</v>
      </c>
      <c r="H19" s="19">
        <f>H10*-$C$27</f>
        <v>-69640.689599999998</v>
      </c>
      <c r="I19" s="19">
        <f t="shared" ref="I19:L19" si="17">I10*-$C$27</f>
        <v>-71729.910287999999</v>
      </c>
      <c r="J19" s="19">
        <f t="shared" si="17"/>
        <v>-73881.807596640007</v>
      </c>
      <c r="K19" s="19">
        <f t="shared" si="17"/>
        <v>-76098.261824539208</v>
      </c>
      <c r="L19" s="19">
        <f t="shared" si="17"/>
        <v>-78381.209679275387</v>
      </c>
      <c r="M19" s="19">
        <f t="shared" ref="M19" si="18">M10*-$C$27</f>
        <v>-80732.645969653648</v>
      </c>
    </row>
    <row r="20" spans="1:13" x14ac:dyDescent="0.3">
      <c r="F20" s="3" t="s">
        <v>27</v>
      </c>
      <c r="G20" s="20">
        <f>SUM(G12:G19)</f>
        <v>-761640</v>
      </c>
      <c r="H20" s="20">
        <f t="shared" ref="H20:L20" si="19">SUM(H12:H19)</f>
        <v>-803465.2496000001</v>
      </c>
      <c r="I20" s="20">
        <f t="shared" si="19"/>
        <v>-826768.90708799998</v>
      </c>
      <c r="J20" s="20">
        <f t="shared" si="19"/>
        <v>-850755.66830064007</v>
      </c>
      <c r="K20" s="20">
        <f t="shared" si="19"/>
        <v>-875445.70622965926</v>
      </c>
      <c r="L20" s="20">
        <f t="shared" si="19"/>
        <v>-900859.79265414912</v>
      </c>
      <c r="M20" s="20">
        <f t="shared" ref="M20" si="20">SUM(M12:M19)</f>
        <v>-927019.31597612554</v>
      </c>
    </row>
    <row r="21" spans="1:13" x14ac:dyDescent="0.3">
      <c r="A21" s="2" t="s">
        <v>15</v>
      </c>
      <c r="B21" s="2"/>
      <c r="C21" s="11"/>
      <c r="F21" s="39" t="s">
        <v>28</v>
      </c>
      <c r="G21" s="40">
        <f>G10+G20</f>
        <v>928668</v>
      </c>
      <c r="H21" s="40">
        <f t="shared" ref="H21:L21" si="21">H10+H20</f>
        <v>937551.99039999989</v>
      </c>
      <c r="I21" s="40">
        <f t="shared" si="21"/>
        <v>966478.8501119999</v>
      </c>
      <c r="J21" s="40">
        <f t="shared" si="21"/>
        <v>996289.52161536017</v>
      </c>
      <c r="K21" s="40">
        <f t="shared" si="21"/>
        <v>1027010.839383821</v>
      </c>
      <c r="L21" s="40">
        <f t="shared" si="21"/>
        <v>1058670.4493277352</v>
      </c>
      <c r="M21" s="40">
        <f t="shared" ref="M21" si="22">M10+M20</f>
        <v>1091296.8332652156</v>
      </c>
    </row>
    <row r="22" spans="1:13" x14ac:dyDescent="0.3">
      <c r="A22" s="9" t="s">
        <v>16</v>
      </c>
      <c r="C22" s="12">
        <v>0.03</v>
      </c>
      <c r="F22" s="3" t="s">
        <v>43</v>
      </c>
      <c r="G22" s="44">
        <f t="shared" ref="G22:M22" si="23">$C$52*12</f>
        <v>694482.95585186128</v>
      </c>
      <c r="H22" s="44">
        <f t="shared" si="23"/>
        <v>694482.95585186128</v>
      </c>
      <c r="I22" s="44">
        <f t="shared" si="23"/>
        <v>694482.95585186128</v>
      </c>
      <c r="J22" s="44">
        <f t="shared" si="23"/>
        <v>694482.95585186128</v>
      </c>
      <c r="K22" s="44">
        <f t="shared" si="23"/>
        <v>694482.95585186128</v>
      </c>
      <c r="L22" s="44">
        <f t="shared" si="23"/>
        <v>694482.95585186128</v>
      </c>
      <c r="M22" s="44">
        <f t="shared" si="23"/>
        <v>694482.95585186128</v>
      </c>
    </row>
    <row r="23" spans="1:13" x14ac:dyDescent="0.3">
      <c r="A23" s="9" t="s">
        <v>17</v>
      </c>
      <c r="C23" s="12">
        <v>0.03</v>
      </c>
      <c r="F23" t="s">
        <v>61</v>
      </c>
      <c r="G23" s="6">
        <f>G21-G22</f>
        <v>234185.04414813872</v>
      </c>
      <c r="H23" s="6">
        <f t="shared" ref="H23:M23" si="24">H21-H22</f>
        <v>243069.03454813862</v>
      </c>
      <c r="I23" s="6">
        <f t="shared" si="24"/>
        <v>271995.89426013862</v>
      </c>
      <c r="J23" s="6">
        <f t="shared" si="24"/>
        <v>301806.56576349889</v>
      </c>
      <c r="K23" s="6">
        <f t="shared" si="24"/>
        <v>332527.88353195973</v>
      </c>
      <c r="L23" s="6">
        <f t="shared" si="24"/>
        <v>364187.49347587395</v>
      </c>
      <c r="M23" s="6">
        <f t="shared" si="24"/>
        <v>396813.87741335435</v>
      </c>
    </row>
    <row r="24" spans="1:13" x14ac:dyDescent="0.3">
      <c r="A24" s="9" t="s">
        <v>18</v>
      </c>
      <c r="C24" s="12">
        <v>0.03</v>
      </c>
    </row>
    <row r="25" spans="1:13" x14ac:dyDescent="0.3">
      <c r="A25" s="9" t="s">
        <v>19</v>
      </c>
      <c r="C25" s="32">
        <v>80030</v>
      </c>
      <c r="F25" t="s">
        <v>59</v>
      </c>
      <c r="G25" s="17"/>
      <c r="H25" s="17"/>
      <c r="I25" s="17"/>
      <c r="J25" s="17"/>
      <c r="K25" s="17"/>
      <c r="L25" s="18">
        <f>M21/C30</f>
        <v>25677572.547416836</v>
      </c>
    </row>
    <row r="26" spans="1:13" x14ac:dyDescent="0.3">
      <c r="A26" s="9" t="s">
        <v>20</v>
      </c>
      <c r="C26" s="12">
        <v>0.02</v>
      </c>
      <c r="F26" s="3" t="s">
        <v>60</v>
      </c>
      <c r="L26" s="20">
        <f>FV(C34/12,C36*12,-C52,C49)</f>
        <v>-10964293.364152534</v>
      </c>
    </row>
    <row r="27" spans="1:13" x14ac:dyDescent="0.3">
      <c r="A27" s="9" t="s">
        <v>21</v>
      </c>
      <c r="C27" s="12">
        <v>0.04</v>
      </c>
      <c r="F27" t="s">
        <v>62</v>
      </c>
      <c r="L27" s="6">
        <f>L25+L26</f>
        <v>14713279.183264302</v>
      </c>
    </row>
    <row r="28" spans="1:13" x14ac:dyDescent="0.3">
      <c r="A28" s="9" t="s">
        <v>22</v>
      </c>
      <c r="C28" s="12">
        <v>0.06</v>
      </c>
    </row>
    <row r="29" spans="1:13" x14ac:dyDescent="0.3">
      <c r="A29" s="9" t="s">
        <v>63</v>
      </c>
      <c r="C29" s="45">
        <v>3.7999999999999999E-2</v>
      </c>
      <c r="F29" t="s">
        <v>65</v>
      </c>
      <c r="G29" s="6">
        <f>-C44</f>
        <v>-24672420.799999997</v>
      </c>
      <c r="H29" s="6">
        <f>H21</f>
        <v>937551.99039999989</v>
      </c>
      <c r="I29" s="6">
        <f t="shared" ref="I29:K29" si="25">I21</f>
        <v>966478.8501119999</v>
      </c>
      <c r="J29" s="6">
        <f t="shared" si="25"/>
        <v>996289.52161536017</v>
      </c>
      <c r="K29" s="6">
        <f t="shared" si="25"/>
        <v>1027010.839383821</v>
      </c>
      <c r="L29" s="6">
        <f>L21+L25</f>
        <v>26736242.996744573</v>
      </c>
    </row>
    <row r="30" spans="1:13" x14ac:dyDescent="0.3">
      <c r="A30" s="9" t="s">
        <v>64</v>
      </c>
      <c r="C30" s="45">
        <v>4.2500000000000003E-2</v>
      </c>
      <c r="F30" t="s">
        <v>66</v>
      </c>
      <c r="G30" s="6">
        <f>-C50</f>
        <v>-12550149.016081236</v>
      </c>
      <c r="H30" s="6">
        <f>H23</f>
        <v>243069.03454813862</v>
      </c>
      <c r="I30" s="6">
        <f t="shared" ref="I30:K30" si="26">I23</f>
        <v>271995.89426013862</v>
      </c>
      <c r="J30" s="6">
        <f t="shared" si="26"/>
        <v>301806.56576349889</v>
      </c>
      <c r="K30" s="6">
        <f t="shared" si="26"/>
        <v>332527.88353195973</v>
      </c>
      <c r="L30" s="6">
        <f>L23+L27</f>
        <v>15077466.676740177</v>
      </c>
    </row>
    <row r="32" spans="1:13" x14ac:dyDescent="0.3">
      <c r="A32" s="25" t="s">
        <v>32</v>
      </c>
      <c r="B32" s="15"/>
      <c r="C32" s="15"/>
    </row>
    <row r="33" spans="1:3" x14ac:dyDescent="0.3">
      <c r="A33" s="9" t="s">
        <v>40</v>
      </c>
      <c r="C33" s="31" t="s">
        <v>41</v>
      </c>
    </row>
    <row r="34" spans="1:3" x14ac:dyDescent="0.3">
      <c r="A34" s="9" t="s">
        <v>33</v>
      </c>
      <c r="C34" s="27">
        <v>0.04</v>
      </c>
    </row>
    <row r="35" spans="1:3" x14ac:dyDescent="0.3">
      <c r="A35" s="9" t="s">
        <v>34</v>
      </c>
      <c r="C35" s="26">
        <v>1.4999999999999999E-2</v>
      </c>
    </row>
    <row r="36" spans="1:3" x14ac:dyDescent="0.3">
      <c r="A36" s="9" t="s">
        <v>68</v>
      </c>
      <c r="C36" s="30">
        <v>5</v>
      </c>
    </row>
    <row r="37" spans="1:3" x14ac:dyDescent="0.3">
      <c r="A37" s="9" t="s">
        <v>35</v>
      </c>
      <c r="C37" s="30">
        <v>10</v>
      </c>
    </row>
    <row r="38" spans="1:3" x14ac:dyDescent="0.3">
      <c r="A38" s="9" t="s">
        <v>36</v>
      </c>
      <c r="C38" s="30">
        <v>30</v>
      </c>
    </row>
    <row r="39" spans="1:3" x14ac:dyDescent="0.3">
      <c r="A39" s="9" t="s">
        <v>37</v>
      </c>
      <c r="C39" s="29">
        <v>0.6</v>
      </c>
    </row>
    <row r="40" spans="1:3" x14ac:dyDescent="0.3">
      <c r="A40" s="9" t="s">
        <v>38</v>
      </c>
      <c r="C40" s="4">
        <v>1.35</v>
      </c>
    </row>
    <row r="41" spans="1:3" x14ac:dyDescent="0.3">
      <c r="A41" s="9" t="s">
        <v>39</v>
      </c>
      <c r="C41" s="26"/>
    </row>
    <row r="43" spans="1:3" x14ac:dyDescent="0.3">
      <c r="A43" s="25" t="s">
        <v>47</v>
      </c>
      <c r="B43" s="15"/>
      <c r="C43" s="15"/>
    </row>
    <row r="44" spans="1:3" x14ac:dyDescent="0.3">
      <c r="A44" s="9" t="s">
        <v>45</v>
      </c>
      <c r="C44" s="32">
        <f>C45</f>
        <v>24672420.799999997</v>
      </c>
    </row>
    <row r="45" spans="1:3" x14ac:dyDescent="0.3">
      <c r="A45" s="9" t="s">
        <v>46</v>
      </c>
      <c r="C45" s="18">
        <f>H21/C29</f>
        <v>24672420.799999997</v>
      </c>
    </row>
    <row r="46" spans="1:3" x14ac:dyDescent="0.3">
      <c r="A46" s="9" t="s">
        <v>48</v>
      </c>
      <c r="C46" s="18">
        <f>IF(C39="","",C39*C44)</f>
        <v>14803452.479999999</v>
      </c>
    </row>
    <row r="47" spans="1:3" x14ac:dyDescent="0.3">
      <c r="A47" s="9" t="s">
        <v>49</v>
      </c>
      <c r="C47" s="18">
        <f>IF(C40="","",PV(C34/12,C38*12,-((H21/C40)/12),0))</f>
        <v>12122271.783918761</v>
      </c>
    </row>
    <row r="48" spans="1:3" x14ac:dyDescent="0.3">
      <c r="A48" s="9" t="s">
        <v>50</v>
      </c>
      <c r="C48" s="18" t="str">
        <f>IF(C41="","",H21/C41)</f>
        <v/>
      </c>
    </row>
    <row r="49" spans="1:6" x14ac:dyDescent="0.3">
      <c r="A49" s="9" t="s">
        <v>51</v>
      </c>
      <c r="C49" s="18">
        <f>MIN(C46:C48)</f>
        <v>12122271.783918761</v>
      </c>
    </row>
    <row r="50" spans="1:6" x14ac:dyDescent="0.3">
      <c r="A50" s="9" t="s">
        <v>67</v>
      </c>
      <c r="C50" s="6">
        <f>C44-C49</f>
        <v>12550149.016081236</v>
      </c>
    </row>
    <row r="51" spans="1:6" x14ac:dyDescent="0.3">
      <c r="A51" s="9" t="s">
        <v>52</v>
      </c>
      <c r="C51" s="6">
        <f>C49*C35</f>
        <v>181834.07675878139</v>
      </c>
    </row>
    <row r="52" spans="1:6" x14ac:dyDescent="0.3">
      <c r="A52" s="9" t="s">
        <v>42</v>
      </c>
      <c r="C52" s="6">
        <f>-PMT(C34/12,C38*12,C49,0)</f>
        <v>57873.579654321773</v>
      </c>
    </row>
    <row r="53" spans="1:6" x14ac:dyDescent="0.3">
      <c r="A53" s="9" t="s">
        <v>44</v>
      </c>
      <c r="C53" s="6">
        <f>-FV(C34/12,C37*12,-C52,C49)</f>
        <v>9550405.6577594932</v>
      </c>
    </row>
    <row r="54" spans="1:6" x14ac:dyDescent="0.3">
      <c r="A54" s="9" t="s">
        <v>53</v>
      </c>
      <c r="C54" s="6">
        <f>C49-C51</f>
        <v>11940437.707159979</v>
      </c>
    </row>
    <row r="56" spans="1:6" x14ac:dyDescent="0.3">
      <c r="A56" s="25" t="s">
        <v>54</v>
      </c>
      <c r="B56" s="15"/>
      <c r="C56" s="15"/>
    </row>
    <row r="57" spans="1:6" x14ac:dyDescent="0.3">
      <c r="A57" s="9" t="s">
        <v>55</v>
      </c>
      <c r="C57" s="38">
        <f>RATE(C38*12,-C52,C54,0)*12</f>
        <v>4.1256169803002549E-2</v>
      </c>
      <c r="F57" s="38"/>
    </row>
    <row r="58" spans="1:6" x14ac:dyDescent="0.3">
      <c r="A58" s="9" t="s">
        <v>56</v>
      </c>
      <c r="C58" s="46">
        <f>RATE(C36*12,-C52,C54,L26)*12</f>
        <v>4.3496077945673096E-2</v>
      </c>
      <c r="D58" s="6"/>
      <c r="E58" s="6"/>
      <c r="F58" s="6"/>
    </row>
    <row r="59" spans="1:6" x14ac:dyDescent="0.3">
      <c r="A59" s="9" t="s">
        <v>57</v>
      </c>
      <c r="C59" s="28">
        <f>IRR(G29:L29)</f>
        <v>4.7710086471764779E-2</v>
      </c>
    </row>
    <row r="60" spans="1:6" x14ac:dyDescent="0.3">
      <c r="A60" s="9" t="s">
        <v>58</v>
      </c>
      <c r="C60" s="28">
        <f>IRR(G30:L30)</f>
        <v>5.4761228817682195E-2</v>
      </c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Assignment</vt:lpstr>
    </vt:vector>
  </TitlesOfParts>
  <Company>University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Tu</dc:creator>
  <cp:lastModifiedBy>Mark Scarola</cp:lastModifiedBy>
  <dcterms:created xsi:type="dcterms:W3CDTF">2021-10-27T21:20:53Z</dcterms:created>
  <dcterms:modified xsi:type="dcterms:W3CDTF">2022-05-24T07:31:51Z</dcterms:modified>
</cp:coreProperties>
</file>